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0" windowWidth="19440" windowHeight="7170" tabRatio="606"/>
  </bookViews>
  <sheets>
    <sheet name="форма МО" sheetId="32" r:id="rId1"/>
    <sheet name="Лист2" sheetId="36" r:id="rId2"/>
  </sheets>
  <calcPr calcId="145621"/>
</workbook>
</file>

<file path=xl/calcChain.xml><?xml version="1.0" encoding="utf-8"?>
<calcChain xmlns="http://schemas.openxmlformats.org/spreadsheetml/2006/main">
  <c r="K40" i="32" l="1"/>
  <c r="H40" i="32"/>
  <c r="F39" i="32" l="1"/>
  <c r="L25" i="32" l="1"/>
  <c r="J25" i="32"/>
  <c r="H28" i="32"/>
  <c r="I24" i="32"/>
  <c r="G24" i="32"/>
  <c r="G28" i="32"/>
  <c r="F36" i="32"/>
  <c r="E25" i="32" l="1"/>
  <c r="F25" i="32"/>
  <c r="F20" i="32" l="1"/>
  <c r="F17" i="32"/>
  <c r="F18" i="32" s="1"/>
  <c r="L30" i="32" l="1"/>
  <c r="K30" i="32"/>
  <c r="J30" i="32"/>
  <c r="I30" i="32"/>
  <c r="G30" i="32"/>
  <c r="H30" i="32"/>
  <c r="F30" i="32"/>
  <c r="G40" i="32" l="1"/>
  <c r="I40" i="32" s="1"/>
  <c r="F21" i="32" l="1"/>
  <c r="H20" i="32"/>
  <c r="J20" i="32" s="1"/>
  <c r="G20" i="32"/>
  <c r="G21" i="32" s="1"/>
  <c r="H17" i="32"/>
  <c r="H18" i="32" s="1"/>
  <c r="G17" i="32"/>
  <c r="I17" i="32" s="1"/>
  <c r="G25" i="32" l="1"/>
  <c r="H21" i="32"/>
  <c r="J21" i="32"/>
  <c r="L20" i="32"/>
  <c r="L21" i="32" s="1"/>
  <c r="I20" i="32"/>
  <c r="I18" i="32"/>
  <c r="K17" i="32"/>
  <c r="K18" i="32" s="1"/>
  <c r="J17" i="32"/>
  <c r="E31" i="32"/>
  <c r="L36" i="32"/>
  <c r="K36" i="32"/>
  <c r="J36" i="32"/>
  <c r="I36" i="32"/>
  <c r="H36" i="32"/>
  <c r="G36" i="32"/>
  <c r="J40" i="32"/>
  <c r="K37" i="32"/>
  <c r="I37" i="32"/>
  <c r="G37" i="32"/>
  <c r="H14" i="32"/>
  <c r="J14" i="32" s="1"/>
  <c r="L14" i="32" s="1"/>
  <c r="G14" i="32"/>
  <c r="I14" i="32" s="1"/>
  <c r="K14" i="32" s="1"/>
  <c r="I21" i="32" l="1"/>
  <c r="K20" i="32"/>
  <c r="K21" i="32" s="1"/>
  <c r="L17" i="32"/>
  <c r="L18" i="32" s="1"/>
  <c r="J18" i="32"/>
  <c r="E39" i="32"/>
  <c r="I50" i="32" l="1"/>
  <c r="D39" i="32"/>
  <c r="L35" i="32"/>
  <c r="K35" i="32"/>
  <c r="I35" i="32"/>
  <c r="J35" i="32"/>
  <c r="H35" i="32"/>
  <c r="G35" i="32"/>
  <c r="F27" i="32"/>
  <c r="F44" i="32"/>
  <c r="H49" i="32" l="1"/>
  <c r="J28" i="32" l="1"/>
  <c r="L28" i="32" s="1"/>
  <c r="I28" i="32" l="1"/>
  <c r="K28" i="32" s="1"/>
  <c r="I25" i="32"/>
  <c r="I27" i="32" l="1"/>
  <c r="K24" i="32"/>
  <c r="K25" i="32" s="1"/>
  <c r="K27" i="32" l="1"/>
  <c r="H50" i="32"/>
  <c r="J50" i="32" s="1"/>
  <c r="I49" i="32" l="1"/>
  <c r="H13" i="32" l="1"/>
  <c r="J13" i="32" s="1"/>
  <c r="L13" i="32" s="1"/>
  <c r="G13" i="32"/>
  <c r="I13" i="32" s="1"/>
  <c r="K13" i="32" s="1"/>
  <c r="H12" i="32"/>
  <c r="G12" i="32"/>
  <c r="I12" i="32" s="1"/>
  <c r="K50" i="32" l="1"/>
  <c r="L50" i="32"/>
  <c r="K49" i="32"/>
  <c r="J49" i="32"/>
  <c r="L49" i="32" s="1"/>
  <c r="H44" i="32" l="1"/>
  <c r="J44" i="32" s="1"/>
  <c r="L44" i="32" s="1"/>
  <c r="G44" i="32"/>
  <c r="I44" i="32" s="1"/>
  <c r="K44" i="32" s="1"/>
  <c r="G39" i="32"/>
  <c r="L40" i="32"/>
  <c r="K12" i="32"/>
  <c r="J12" i="32"/>
  <c r="L12" i="32" s="1"/>
  <c r="H39" i="32" l="1"/>
  <c r="I39" i="32"/>
  <c r="J39" i="32"/>
  <c r="K39" i="32"/>
  <c r="L39" i="32"/>
  <c r="G18" i="32" l="1"/>
  <c r="H24" i="32" l="1"/>
  <c r="J24" i="32" s="1"/>
  <c r="L24" i="32" l="1"/>
  <c r="J27" i="32"/>
  <c r="H25" i="32"/>
  <c r="L27" i="32" l="1"/>
</calcChain>
</file>

<file path=xl/sharedStrings.xml><?xml version="1.0" encoding="utf-8"?>
<sst xmlns="http://schemas.openxmlformats.org/spreadsheetml/2006/main" count="122" uniqueCount="92">
  <si>
    <t>Показатели</t>
  </si>
  <si>
    <t>Ед.изм.</t>
  </si>
  <si>
    <t>руб.</t>
  </si>
  <si>
    <t>тыс.чел.</t>
  </si>
  <si>
    <t>Среднесписочная численность работников предприятий (по крупным и средним организациям)</t>
  </si>
  <si>
    <t>единиц</t>
  </si>
  <si>
    <t>Количество средних предприятий,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</si>
  <si>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</si>
  <si>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чел.</t>
  </si>
  <si>
    <t>Среднесписочная численность работников (без внешних совместителей) по средним предприятиям, всего</t>
  </si>
  <si>
    <t>Объем платных услуг населению</t>
  </si>
  <si>
    <t>Количество малых предприятий, в том числе микропредприятий,  всего</t>
  </si>
  <si>
    <t>базовый вариант</t>
  </si>
  <si>
    <t>№ п/п</t>
  </si>
  <si>
    <t>Численность постоянного населения (в среднегодовом исчислении)</t>
  </si>
  <si>
    <t>Численность населения (на 1 января года)</t>
  </si>
  <si>
    <t>тыс. чел.</t>
  </si>
  <si>
    <t>Население</t>
  </si>
  <si>
    <t>Промышленное производство</t>
  </si>
  <si>
    <t>1.1</t>
  </si>
  <si>
    <t>1.2</t>
  </si>
  <si>
    <t>2.1</t>
  </si>
  <si>
    <t>млн.руб.</t>
  </si>
  <si>
    <t>2.2</t>
  </si>
  <si>
    <t>Индекс промышленного производства</t>
  </si>
  <si>
    <t>Сельское хозяйство</t>
  </si>
  <si>
    <t>3.1</t>
  </si>
  <si>
    <t>Продукция сельского хозяйства</t>
  </si>
  <si>
    <t>3.2</t>
  </si>
  <si>
    <t>Торговля и услуги населению</t>
  </si>
  <si>
    <t>4.1</t>
  </si>
  <si>
    <t>Объем розничного товарооборота</t>
  </si>
  <si>
    <t>4.5</t>
  </si>
  <si>
    <t>% к предыдущему году
в сопоставимых ценах</t>
  </si>
  <si>
    <t>4.6</t>
  </si>
  <si>
    <t>Инвестиции</t>
  </si>
  <si>
    <t>Инвестиции в основной капитал по организациям, не относящимся к субъектам малого предпринимательства</t>
  </si>
  <si>
    <t>Темп роста в сопоставимых ценах</t>
  </si>
  <si>
    <t>5.1</t>
  </si>
  <si>
    <t>5.2</t>
  </si>
  <si>
    <t>1.3</t>
  </si>
  <si>
    <t>Численность детей до 18 лет на начало года (до 17 лет включительно)</t>
  </si>
  <si>
    <t>Труд и занятость</t>
  </si>
  <si>
    <t>6.1</t>
  </si>
  <si>
    <t>Фонд заработной платы по организациям, не относящимся к субъектам малого предпринимательства</t>
  </si>
  <si>
    <t>6.2</t>
  </si>
  <si>
    <t>Номинальная начисленная среднемесячная заработная плата одного работника  по организациям, не относящимся к субъектам малого предпринимательства</t>
  </si>
  <si>
    <t>6.3</t>
  </si>
  <si>
    <t>Малое и среднее предпринимательство, включая микропредприятия</t>
  </si>
  <si>
    <t>2</t>
  </si>
  <si>
    <t>3</t>
  </si>
  <si>
    <t>4</t>
  </si>
  <si>
    <t>5</t>
  </si>
  <si>
    <t>6</t>
  </si>
  <si>
    <t>7</t>
  </si>
  <si>
    <t>Прибыль прибыльных организаций (по полному кругу организаций)</t>
  </si>
  <si>
    <t>консерватиный вариант</t>
  </si>
  <si>
    <t>дефлятор</t>
  </si>
  <si>
    <t>2020 год факт</t>
  </si>
  <si>
    <t>6.4</t>
  </si>
  <si>
    <t>Уровень официально зарегистрированной безработицы (на конец года)</t>
  </si>
  <si>
    <t>6.5</t>
  </si>
  <si>
    <t>Ввод в действие жилых домов</t>
  </si>
  <si>
    <t>тыс. кв. м. общей площади</t>
  </si>
  <si>
    <t>человек</t>
  </si>
  <si>
    <t>%</t>
  </si>
  <si>
    <t>1.4</t>
  </si>
  <si>
    <t>Численность населения в трудоспособном возрасте</t>
  </si>
  <si>
    <t>продукция растениеводства</t>
  </si>
  <si>
    <t>3.3</t>
  </si>
  <si>
    <t>продукция животноводства</t>
  </si>
  <si>
    <t>млн. руб</t>
  </si>
  <si>
    <t>численность зарегистрированных безработных на конец года</t>
  </si>
  <si>
    <t>"Муниципальный округ Балезинский район Удмуртской Республики"</t>
  </si>
  <si>
    <t>ПРОГНОЗ</t>
  </si>
  <si>
    <t xml:space="preserve">социально-экономического развития муниципального образования </t>
  </si>
  <si>
    <t>прогноз</t>
  </si>
  <si>
    <t>2023 год</t>
  </si>
  <si>
    <t>2024 год</t>
  </si>
  <si>
    <t>на 2023 год и плановй период 2024-2025 годов</t>
  </si>
  <si>
    <t>2021 год факт</t>
  </si>
  <si>
    <t>2022 год  оценка</t>
  </si>
  <si>
    <t>7.1</t>
  </si>
  <si>
    <t>7.2</t>
  </si>
  <si>
    <t>7.3</t>
  </si>
  <si>
    <t>7.4</t>
  </si>
  <si>
    <t>7.5</t>
  </si>
  <si>
    <t>Количество индивидуальных предпринимателей</t>
  </si>
  <si>
    <t>уточнила на 01.11</t>
  </si>
  <si>
    <t>2025 год</t>
  </si>
  <si>
    <t xml:space="preserve">Объем отгруженных товаров собственного производства, выполненных работ и услуг собственными силами по крупным и средним организациям </t>
  </si>
  <si>
    <t xml:space="preserve">Отгруженно товаров собственного производства, выполненных работ и услуг собственными силами по обрабатывабщим производствам по кругу крупных и средних организаций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</si>
</sst>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5" x14ac:knownFonts="1">
    <font>
      <sz val="11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1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13" fillId="0" borderId="0"/>
  </cellStyleXfs>
  <cellXfs count="7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0" fillId="4" borderId="0" xfId="0" applyFill="1"/>
    <xf numFmtId="0" fontId="6" fillId="0" borderId="0" xfId="0" applyFont="1" applyAlignment="1">
      <alignment horizontal="center" vertical="top" wrapText="1"/>
    </xf>
    <xf numFmtId="164" fontId="10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/>
    </xf>
    <xf numFmtId="49" fontId="8" fillId="3" borderId="1" xfId="0" applyNumberFormat="1" applyFont="1" applyFill="1" applyBorder="1" applyAlignment="1">
      <alignment horizontal="center" vertical="top"/>
    </xf>
    <xf numFmtId="0" fontId="12" fillId="0" borderId="1" xfId="0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164" fontId="9" fillId="3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4" fontId="9" fillId="4" borderId="1" xfId="2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8" fillId="4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28" workbookViewId="0">
      <selection activeCell="K40" sqref="K40"/>
    </sheetView>
  </sheetViews>
  <sheetFormatPr defaultRowHeight="14.25" x14ac:dyDescent="0.2"/>
  <cols>
    <col min="1" max="1" width="5.75" style="2" customWidth="1"/>
    <col min="2" max="2" width="41.25" style="1" customWidth="1"/>
    <col min="3" max="3" width="18.25" style="3" customWidth="1"/>
    <col min="4" max="4" width="9" customWidth="1"/>
    <col min="5" max="5" width="8.25" customWidth="1"/>
    <col min="6" max="6" width="8.125" customWidth="1"/>
    <col min="7" max="7" width="8.375" customWidth="1"/>
    <col min="8" max="9" width="8.25" customWidth="1"/>
    <col min="10" max="10" width="7.625" customWidth="1"/>
    <col min="11" max="11" width="8.875" customWidth="1"/>
    <col min="12" max="12" width="7.625" customWidth="1"/>
    <col min="13" max="13" width="0" hidden="1" customWidth="1"/>
  </cols>
  <sheetData>
    <row r="1" spans="1:12" x14ac:dyDescent="0.2">
      <c r="I1" s="49"/>
      <c r="J1" s="49"/>
      <c r="K1" s="49"/>
      <c r="L1" s="49"/>
    </row>
    <row r="2" spans="1:12" ht="15" x14ac:dyDescent="0.2">
      <c r="B2" s="50" t="s">
        <v>74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8.75" x14ac:dyDescent="0.2">
      <c r="A3" s="52" t="s">
        <v>75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2" ht="18" customHeight="1" x14ac:dyDescent="0.2">
      <c r="A4" s="11"/>
      <c r="B4" s="52" t="s">
        <v>73</v>
      </c>
      <c r="C4" s="52"/>
      <c r="D4" s="52"/>
      <c r="E4" s="52"/>
      <c r="F4" s="52"/>
      <c r="G4" s="52"/>
      <c r="H4" s="52"/>
      <c r="I4" s="52"/>
      <c r="J4" s="52"/>
      <c r="K4" s="52"/>
      <c r="L4" s="11"/>
    </row>
    <row r="5" spans="1:12" ht="16.5" customHeight="1" x14ac:dyDescent="0.2">
      <c r="A5" s="9"/>
      <c r="B5" s="52" t="s">
        <v>79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2.7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.75" customHeight="1" x14ac:dyDescent="0.25">
      <c r="A8" s="53" t="s">
        <v>13</v>
      </c>
      <c r="B8" s="56" t="s">
        <v>0</v>
      </c>
      <c r="C8" s="59" t="s">
        <v>1</v>
      </c>
      <c r="D8" s="62" t="s">
        <v>58</v>
      </c>
      <c r="E8" s="62" t="s">
        <v>80</v>
      </c>
      <c r="F8" s="62" t="s">
        <v>81</v>
      </c>
      <c r="G8" s="65" t="s">
        <v>76</v>
      </c>
      <c r="H8" s="66"/>
      <c r="I8" s="66"/>
      <c r="J8" s="66"/>
      <c r="K8" s="66"/>
      <c r="L8" s="67"/>
    </row>
    <row r="9" spans="1:12" ht="15" customHeight="1" x14ac:dyDescent="0.2">
      <c r="A9" s="54"/>
      <c r="B9" s="57"/>
      <c r="C9" s="60"/>
      <c r="D9" s="63"/>
      <c r="E9" s="63"/>
      <c r="F9" s="63"/>
      <c r="G9" s="68" t="s">
        <v>77</v>
      </c>
      <c r="H9" s="68"/>
      <c r="I9" s="69" t="s">
        <v>78</v>
      </c>
      <c r="J9" s="69"/>
      <c r="K9" s="68" t="s">
        <v>89</v>
      </c>
      <c r="L9" s="68"/>
    </row>
    <row r="10" spans="1:12" ht="38.25" x14ac:dyDescent="0.2">
      <c r="A10" s="55"/>
      <c r="B10" s="58"/>
      <c r="C10" s="61"/>
      <c r="D10" s="64"/>
      <c r="E10" s="64"/>
      <c r="F10" s="64"/>
      <c r="G10" s="39" t="s">
        <v>12</v>
      </c>
      <c r="H10" s="40" t="s">
        <v>56</v>
      </c>
      <c r="I10" s="39" t="s">
        <v>12</v>
      </c>
      <c r="J10" s="40" t="s">
        <v>56</v>
      </c>
      <c r="K10" s="39" t="s">
        <v>12</v>
      </c>
      <c r="L10" s="40" t="s">
        <v>56</v>
      </c>
    </row>
    <row r="11" spans="1:12" x14ac:dyDescent="0.2">
      <c r="A11" s="23">
        <v>1</v>
      </c>
      <c r="B11" s="25" t="s">
        <v>17</v>
      </c>
      <c r="C11" s="24"/>
      <c r="D11" s="38"/>
      <c r="E11" s="38"/>
      <c r="F11" s="38"/>
      <c r="G11" s="39"/>
      <c r="H11" s="40"/>
      <c r="I11" s="39"/>
      <c r="J11" s="40"/>
      <c r="K11" s="39"/>
      <c r="L11" s="40"/>
    </row>
    <row r="12" spans="1:12" ht="25.5" x14ac:dyDescent="0.2">
      <c r="A12" s="26" t="s">
        <v>19</v>
      </c>
      <c r="B12" s="16" t="s">
        <v>14</v>
      </c>
      <c r="C12" s="18" t="s">
        <v>3</v>
      </c>
      <c r="D12" s="14">
        <v>29.521000000000001</v>
      </c>
      <c r="E12" s="14">
        <v>28.981000000000002</v>
      </c>
      <c r="F12" s="14">
        <v>28.548999999999999</v>
      </c>
      <c r="G12" s="14">
        <f>F12*0.985</f>
        <v>28.120764999999999</v>
      </c>
      <c r="H12" s="14">
        <f>F12*0.981</f>
        <v>28.006568999999999</v>
      </c>
      <c r="I12" s="14">
        <f>G12*0.985</f>
        <v>27.698953524999997</v>
      </c>
      <c r="J12" s="14">
        <f t="shared" ref="J12:K14" si="0">H12*0.98</f>
        <v>27.446437619999998</v>
      </c>
      <c r="K12" s="14">
        <f t="shared" si="0"/>
        <v>27.144974454499998</v>
      </c>
      <c r="L12" s="14">
        <f>J12*0.97</f>
        <v>26.623044491399998</v>
      </c>
    </row>
    <row r="13" spans="1:12" x14ac:dyDescent="0.2">
      <c r="A13" s="26" t="s">
        <v>20</v>
      </c>
      <c r="B13" s="16" t="s">
        <v>15</v>
      </c>
      <c r="C13" s="18" t="s">
        <v>16</v>
      </c>
      <c r="D13" s="14">
        <v>29.263000000000002</v>
      </c>
      <c r="E13" s="14">
        <v>28.699000000000002</v>
      </c>
      <c r="F13" s="14">
        <v>28.219000000000001</v>
      </c>
      <c r="G13" s="14">
        <f>F13*0.985</f>
        <v>27.795715000000001</v>
      </c>
      <c r="H13" s="14">
        <f>F13*0.981</f>
        <v>27.682839000000001</v>
      </c>
      <c r="I13" s="14">
        <f>G13*0.985</f>
        <v>27.378779274999999</v>
      </c>
      <c r="J13" s="14">
        <f t="shared" si="0"/>
        <v>27.129182220000001</v>
      </c>
      <c r="K13" s="14">
        <f t="shared" si="0"/>
        <v>26.831203689500001</v>
      </c>
      <c r="L13" s="14">
        <f>J13*0.97</f>
        <v>26.315306753400002</v>
      </c>
    </row>
    <row r="14" spans="1:12" ht="25.5" x14ac:dyDescent="0.2">
      <c r="A14" s="26" t="s">
        <v>40</v>
      </c>
      <c r="B14" s="16" t="s">
        <v>41</v>
      </c>
      <c r="C14" s="18" t="s">
        <v>16</v>
      </c>
      <c r="D14" s="14">
        <v>7.49</v>
      </c>
      <c r="E14" s="14">
        <v>7.1740000000000004</v>
      </c>
      <c r="F14" s="14">
        <v>7.0830000000000002</v>
      </c>
      <c r="G14" s="14">
        <f>F14*0.985</f>
        <v>6.9767549999999998</v>
      </c>
      <c r="H14" s="14">
        <f>F14*0.981</f>
        <v>6.948423</v>
      </c>
      <c r="I14" s="14">
        <f>G14*0.985</f>
        <v>6.872103675</v>
      </c>
      <c r="J14" s="14">
        <f t="shared" si="0"/>
        <v>6.8094545399999999</v>
      </c>
      <c r="K14" s="14">
        <f t="shared" si="0"/>
        <v>6.7346616015</v>
      </c>
      <c r="L14" s="14">
        <f>J14*0.97</f>
        <v>6.6051709037999995</v>
      </c>
    </row>
    <row r="15" spans="1:12" x14ac:dyDescent="0.2">
      <c r="A15" s="26" t="s">
        <v>66</v>
      </c>
      <c r="B15" s="16" t="s">
        <v>67</v>
      </c>
      <c r="C15" s="18" t="s">
        <v>16</v>
      </c>
      <c r="D15" s="43">
        <v>14.6</v>
      </c>
      <c r="E15" s="43">
        <v>14.265000000000001</v>
      </c>
      <c r="F15" s="43">
        <v>13.971</v>
      </c>
      <c r="G15" s="43">
        <v>13.9</v>
      </c>
      <c r="H15" s="43">
        <v>13.78</v>
      </c>
      <c r="I15" s="43">
        <v>13.85</v>
      </c>
      <c r="J15" s="43">
        <v>13.79</v>
      </c>
      <c r="K15" s="43">
        <v>13.8</v>
      </c>
      <c r="L15" s="43">
        <v>13.73</v>
      </c>
    </row>
    <row r="16" spans="1:12" x14ac:dyDescent="0.2">
      <c r="A16" s="28" t="s">
        <v>49</v>
      </c>
      <c r="B16" s="25" t="s">
        <v>18</v>
      </c>
      <c r="C16" s="18"/>
      <c r="D16" s="14"/>
      <c r="E16" s="14"/>
      <c r="F16" s="14"/>
      <c r="G16" s="14"/>
      <c r="H16" s="14"/>
      <c r="I16" s="14"/>
      <c r="J16" s="14"/>
      <c r="K16" s="14"/>
      <c r="L16" s="14"/>
    </row>
    <row r="17" spans="1:12" ht="45" customHeight="1" x14ac:dyDescent="0.2">
      <c r="A17" s="26" t="s">
        <v>21</v>
      </c>
      <c r="B17" s="16" t="s">
        <v>90</v>
      </c>
      <c r="C17" s="15" t="s">
        <v>22</v>
      </c>
      <c r="D17" s="41">
        <v>4115.9639999999999</v>
      </c>
      <c r="E17" s="41">
        <v>8486.4590000000007</v>
      </c>
      <c r="F17" s="41">
        <f>E17*F19*1.149/100</f>
        <v>10960.058123484003</v>
      </c>
      <c r="G17" s="41">
        <f>F17*G19*1.05/100</f>
        <v>12083.464081141115</v>
      </c>
      <c r="H17" s="41">
        <f>F17*H19*1/100</f>
        <v>11727.262192127884</v>
      </c>
      <c r="I17" s="41">
        <f>G17*I19*1.05/100</f>
        <v>12992.140580042929</v>
      </c>
      <c r="J17" s="41">
        <f>H17*J19*1/100</f>
        <v>12079.080057891721</v>
      </c>
      <c r="K17" s="41">
        <f>I17*K19*1.1/100</f>
        <v>14820.134759654971</v>
      </c>
      <c r="L17" s="41">
        <f>J17*L19*1.05/100</f>
        <v>13190.355423217761</v>
      </c>
    </row>
    <row r="18" spans="1:12" ht="25.5" x14ac:dyDescent="0.2">
      <c r="A18" s="26"/>
      <c r="B18" s="17" t="s">
        <v>24</v>
      </c>
      <c r="C18" s="15" t="s">
        <v>33</v>
      </c>
      <c r="D18" s="20"/>
      <c r="E18" s="19">
        <v>105.3</v>
      </c>
      <c r="F18" s="19">
        <f>F17/F19/E17*10000</f>
        <v>114.90000000000002</v>
      </c>
      <c r="G18" s="19">
        <f>G17/G19/F17*10000</f>
        <v>105.00000000000003</v>
      </c>
      <c r="H18" s="19">
        <f>H17/H19/F17*10000</f>
        <v>100</v>
      </c>
      <c r="I18" s="19">
        <f>I17/I19/G17*10000</f>
        <v>105</v>
      </c>
      <c r="J18" s="19">
        <f>J17/J19/H17*10000</f>
        <v>100</v>
      </c>
      <c r="K18" s="19">
        <f>K17/K19/I17*10000</f>
        <v>110.00000000000001</v>
      </c>
      <c r="L18" s="19">
        <f>L17/L19/J17*10000</f>
        <v>105.00000000000003</v>
      </c>
    </row>
    <row r="19" spans="1:12" x14ac:dyDescent="0.2">
      <c r="A19" s="26"/>
      <c r="B19" s="17" t="s">
        <v>57</v>
      </c>
      <c r="C19" s="33"/>
      <c r="D19" s="20"/>
      <c r="E19" s="20">
        <v>124.9</v>
      </c>
      <c r="F19" s="19">
        <v>112.4</v>
      </c>
      <c r="G19" s="20">
        <v>105</v>
      </c>
      <c r="H19" s="20">
        <v>107</v>
      </c>
      <c r="I19" s="20">
        <v>102.4</v>
      </c>
      <c r="J19" s="20">
        <v>103</v>
      </c>
      <c r="K19" s="20">
        <v>103.7</v>
      </c>
      <c r="L19" s="20">
        <v>104</v>
      </c>
    </row>
    <row r="20" spans="1:12" ht="51" x14ac:dyDescent="0.2">
      <c r="A20" s="26" t="s">
        <v>23</v>
      </c>
      <c r="B20" s="22" t="s">
        <v>91</v>
      </c>
      <c r="C20" s="37" t="s">
        <v>22</v>
      </c>
      <c r="D20" s="19">
        <v>1168.0999999999999</v>
      </c>
      <c r="E20" s="19">
        <v>1419.9449999999999</v>
      </c>
      <c r="F20" s="44">
        <f>E20*F22*1.03/100</f>
        <v>1643.8987254000001</v>
      </c>
      <c r="G20" s="19">
        <f>F20*G22*1.05/100</f>
        <v>1812.3983447535002</v>
      </c>
      <c r="H20" s="19">
        <f>F20*H22*1/100</f>
        <v>1758.9716361780002</v>
      </c>
      <c r="I20" s="19">
        <f>G20*I22*1.1/100</f>
        <v>2041.4854955303426</v>
      </c>
      <c r="J20" s="19">
        <f>H20*J22*1.05/100</f>
        <v>1902.3278245265071</v>
      </c>
      <c r="K20" s="19">
        <f>I20*K22*1.1/100</f>
        <v>2328.7225047514621</v>
      </c>
      <c r="L20" s="19">
        <f>J20*L22*1.05/100</f>
        <v>2077.3419843829456</v>
      </c>
    </row>
    <row r="21" spans="1:12" ht="25.5" x14ac:dyDescent="0.2">
      <c r="A21" s="26"/>
      <c r="B21" s="17" t="s">
        <v>24</v>
      </c>
      <c r="C21" s="37" t="s">
        <v>33</v>
      </c>
      <c r="D21" s="19"/>
      <c r="E21" s="19">
        <v>105.3</v>
      </c>
      <c r="F21" s="19">
        <f>F20/F22/E20*10000</f>
        <v>103</v>
      </c>
      <c r="G21" s="19">
        <f>G20/G22/F20*10000</f>
        <v>104.99999999999999</v>
      </c>
      <c r="H21" s="19">
        <f>H20/H22/F20*10000</f>
        <v>100</v>
      </c>
      <c r="I21" s="19">
        <f>I20/I22/G20*10000</f>
        <v>110</v>
      </c>
      <c r="J21" s="19">
        <f>J20/J22/H20*10000</f>
        <v>104.99999999999999</v>
      </c>
      <c r="K21" s="19">
        <f>K20/K22/I20*10000</f>
        <v>110.00000000000001</v>
      </c>
      <c r="L21" s="19">
        <f>L20/L22/J20*10000</f>
        <v>104.99999999999999</v>
      </c>
    </row>
    <row r="22" spans="1:12" x14ac:dyDescent="0.2">
      <c r="A22" s="26"/>
      <c r="B22" s="17" t="s">
        <v>57</v>
      </c>
      <c r="C22" s="37"/>
      <c r="D22" s="19"/>
      <c r="E22" s="19">
        <v>124.9</v>
      </c>
      <c r="F22" s="19">
        <v>112.4</v>
      </c>
      <c r="G22" s="20">
        <v>105</v>
      </c>
      <c r="H22" s="20">
        <v>107</v>
      </c>
      <c r="I22" s="20">
        <v>102.4</v>
      </c>
      <c r="J22" s="20">
        <v>103</v>
      </c>
      <c r="K22" s="20">
        <v>103.7</v>
      </c>
      <c r="L22" s="20">
        <v>104</v>
      </c>
    </row>
    <row r="23" spans="1:12" x14ac:dyDescent="0.2">
      <c r="A23" s="28" t="s">
        <v>50</v>
      </c>
      <c r="B23" s="35" t="s">
        <v>25</v>
      </c>
      <c r="C23" s="18"/>
      <c r="D23" s="19"/>
      <c r="E23" s="19"/>
      <c r="F23" s="19"/>
      <c r="G23" s="20"/>
      <c r="H23" s="20"/>
      <c r="I23" s="20"/>
      <c r="J23" s="20"/>
      <c r="K23" s="20"/>
      <c r="L23" s="20"/>
    </row>
    <row r="24" spans="1:12" x14ac:dyDescent="0.2">
      <c r="A24" s="26" t="s">
        <v>26</v>
      </c>
      <c r="B24" s="16" t="s">
        <v>27</v>
      </c>
      <c r="C24" s="34" t="s">
        <v>22</v>
      </c>
      <c r="D24" s="41">
        <v>2899.3</v>
      </c>
      <c r="E24" s="41">
        <v>2823.7</v>
      </c>
      <c r="F24" s="41">
        <v>3278</v>
      </c>
      <c r="G24" s="41">
        <f>G27+G28</f>
        <v>3038.8461260000004</v>
      </c>
      <c r="H24" s="41">
        <f>H27+H28</f>
        <v>2901.5397759999996</v>
      </c>
      <c r="I24" s="41">
        <f>G24*I26/100*102%</f>
        <v>3220.5083474122803</v>
      </c>
      <c r="J24" s="41">
        <f>H24*J26/100*102.5%</f>
        <v>3098.9895577567995</v>
      </c>
      <c r="K24" s="41">
        <f>I24*K26/100*104%</f>
        <v>3483.3018285611224</v>
      </c>
      <c r="L24" s="41">
        <f>J24*L26/100*103.5%</f>
        <v>3338.9598141616966</v>
      </c>
    </row>
    <row r="25" spans="1:12" ht="25.5" x14ac:dyDescent="0.2">
      <c r="A25" s="26"/>
      <c r="B25" s="17" t="s">
        <v>37</v>
      </c>
      <c r="C25" s="34" t="s">
        <v>33</v>
      </c>
      <c r="D25" s="19"/>
      <c r="E25" s="19">
        <f>E24/E26/D24*10000</f>
        <v>92.227721633957614</v>
      </c>
      <c r="F25" s="19">
        <f>F24/F26/E24*10000</f>
        <v>109.93259435020248</v>
      </c>
      <c r="G25" s="19">
        <f>G24/G26/F24*10000</f>
        <v>89.396600521403613</v>
      </c>
      <c r="H25" s="19">
        <f>H24/H26/F24*10000</f>
        <v>86.440968197071371</v>
      </c>
      <c r="I25" s="20">
        <f>I24/I26/G24*10000</f>
        <v>101.99999999999999</v>
      </c>
      <c r="J25" s="20">
        <f>J24/J26/H24*10000</f>
        <v>102.49999999999999</v>
      </c>
      <c r="K25" s="20">
        <f>K24/K26/I24*10000</f>
        <v>104</v>
      </c>
      <c r="L25" s="19">
        <f>L24/L26/J24*10000</f>
        <v>103.49999999999999</v>
      </c>
    </row>
    <row r="26" spans="1:12" x14ac:dyDescent="0.2">
      <c r="A26" s="26"/>
      <c r="B26" s="17" t="s">
        <v>57</v>
      </c>
      <c r="C26" s="34"/>
      <c r="D26" s="19"/>
      <c r="E26" s="19">
        <v>105.6</v>
      </c>
      <c r="F26" s="12">
        <v>105.6</v>
      </c>
      <c r="G26" s="13">
        <v>103.7</v>
      </c>
      <c r="H26" s="12">
        <v>102.4</v>
      </c>
      <c r="I26" s="13">
        <v>103.9</v>
      </c>
      <c r="J26" s="13">
        <v>104.2</v>
      </c>
      <c r="K26" s="13">
        <v>104</v>
      </c>
      <c r="L26" s="13">
        <v>104.1</v>
      </c>
    </row>
    <row r="27" spans="1:12" x14ac:dyDescent="0.2">
      <c r="A27" s="26" t="s">
        <v>28</v>
      </c>
      <c r="B27" s="17" t="s">
        <v>68</v>
      </c>
      <c r="C27" s="37" t="s">
        <v>71</v>
      </c>
      <c r="D27" s="19">
        <v>1057</v>
      </c>
      <c r="E27" s="19">
        <v>984.7</v>
      </c>
      <c r="F27" s="12">
        <f t="shared" ref="F27:L27" si="1">F24-F28</f>
        <v>1398.2</v>
      </c>
      <c r="G27" s="12">
        <v>1070</v>
      </c>
      <c r="H27" s="12">
        <v>967</v>
      </c>
      <c r="I27" s="12">
        <f t="shared" si="1"/>
        <v>1113.5082887508597</v>
      </c>
      <c r="J27" s="12">
        <f t="shared" si="1"/>
        <v>1032.8043499999999</v>
      </c>
      <c r="K27" s="12">
        <f t="shared" si="1"/>
        <v>1204.3705651129303</v>
      </c>
      <c r="L27" s="12">
        <f t="shared" si="1"/>
        <v>1112.7795548422491</v>
      </c>
    </row>
    <row r="28" spans="1:12" x14ac:dyDescent="0.2">
      <c r="A28" s="26" t="s">
        <v>69</v>
      </c>
      <c r="B28" s="17" t="s">
        <v>70</v>
      </c>
      <c r="C28" s="37" t="s">
        <v>71</v>
      </c>
      <c r="D28" s="19">
        <v>1842.3</v>
      </c>
      <c r="E28" s="19">
        <v>1931.2</v>
      </c>
      <c r="F28" s="12">
        <v>1879.8</v>
      </c>
      <c r="G28" s="12">
        <f>F28*G26/100*101%</f>
        <v>1968.8461260000001</v>
      </c>
      <c r="H28" s="12">
        <f>F28*H26/100*100.5%</f>
        <v>1934.5397759999998</v>
      </c>
      <c r="I28" s="12">
        <f>G28*I26/100*103%</f>
        <v>2107.0000586614206</v>
      </c>
      <c r="J28" s="12">
        <f>H28*J26/100*102.5%</f>
        <v>2066.1852077567996</v>
      </c>
      <c r="K28" s="12">
        <f>I28*K26/100*104%</f>
        <v>2278.9312634481921</v>
      </c>
      <c r="L28" s="12">
        <f>J28*L26/100*103.5%</f>
        <v>2226.1802593194475</v>
      </c>
    </row>
    <row r="29" spans="1:12" x14ac:dyDescent="0.2">
      <c r="A29" s="28" t="s">
        <v>51</v>
      </c>
      <c r="B29" s="25" t="s">
        <v>29</v>
      </c>
      <c r="C29" s="18"/>
      <c r="D29" s="19"/>
      <c r="E29" s="19"/>
      <c r="F29" s="12"/>
      <c r="G29" s="13"/>
      <c r="H29" s="12"/>
      <c r="I29" s="13"/>
      <c r="J29" s="13"/>
      <c r="K29" s="13"/>
      <c r="L29" s="13"/>
    </row>
    <row r="30" spans="1:12" x14ac:dyDescent="0.2">
      <c r="A30" s="26" t="s">
        <v>30</v>
      </c>
      <c r="B30" s="16" t="s">
        <v>31</v>
      </c>
      <c r="C30" s="15" t="s">
        <v>22</v>
      </c>
      <c r="D30" s="41">
        <v>1120.3430000000001</v>
      </c>
      <c r="E30" s="45">
        <v>1236.2</v>
      </c>
      <c r="F30" s="41">
        <f>E30*110.2/100</f>
        <v>1362.2924000000003</v>
      </c>
      <c r="G30" s="41">
        <f>F30*106.4/100</f>
        <v>1449.4791136000003</v>
      </c>
      <c r="H30" s="41">
        <f>F30*105.8/100</f>
        <v>1441.3053592000003</v>
      </c>
      <c r="I30" s="41">
        <f>G30*105.98/100</f>
        <v>1536.1579645932804</v>
      </c>
      <c r="J30" s="41">
        <f>H30*105.82/100</f>
        <v>1525.1893311054403</v>
      </c>
      <c r="K30" s="41">
        <f>I30*106.25/100</f>
        <v>1632.1678373803607</v>
      </c>
      <c r="L30" s="41">
        <f>J30*105.83/100</f>
        <v>1614.1078691088874</v>
      </c>
    </row>
    <row r="31" spans="1:12" ht="25.5" x14ac:dyDescent="0.2">
      <c r="A31" s="26"/>
      <c r="B31" s="17" t="s">
        <v>37</v>
      </c>
      <c r="C31" s="15" t="s">
        <v>33</v>
      </c>
      <c r="D31" s="19"/>
      <c r="E31" s="19">
        <f>E30/D30/1.08*100</f>
        <v>102.16778518985967</v>
      </c>
      <c r="F31" s="19">
        <v>99</v>
      </c>
      <c r="G31" s="19">
        <v>101</v>
      </c>
      <c r="H31" s="19">
        <v>100</v>
      </c>
      <c r="I31" s="19">
        <v>101.6</v>
      </c>
      <c r="J31" s="19">
        <v>101.1</v>
      </c>
      <c r="K31" s="19">
        <v>102.6</v>
      </c>
      <c r="L31" s="19">
        <v>102.1</v>
      </c>
    </row>
    <row r="32" spans="1:12" s="10" customFormat="1" hidden="1" x14ac:dyDescent="0.2">
      <c r="A32" s="26" t="s">
        <v>32</v>
      </c>
      <c r="B32" s="16" t="s">
        <v>10</v>
      </c>
      <c r="C32" s="15" t="s">
        <v>22</v>
      </c>
      <c r="D32" s="42"/>
      <c r="E32" s="21"/>
      <c r="F32" s="21"/>
      <c r="G32" s="21"/>
      <c r="H32" s="21"/>
      <c r="I32" s="21"/>
      <c r="J32" s="21"/>
      <c r="K32" s="21"/>
      <c r="L32" s="21"/>
    </row>
    <row r="33" spans="1:13" s="10" customFormat="1" ht="25.5" hidden="1" x14ac:dyDescent="0.2">
      <c r="A33" s="26" t="s">
        <v>34</v>
      </c>
      <c r="B33" s="17" t="s">
        <v>37</v>
      </c>
      <c r="C33" s="15" t="s">
        <v>33</v>
      </c>
      <c r="D33" s="19"/>
      <c r="E33" s="19"/>
      <c r="F33" s="20"/>
      <c r="G33" s="20"/>
      <c r="H33" s="19"/>
      <c r="I33" s="20"/>
      <c r="J33" s="20"/>
      <c r="K33" s="20"/>
      <c r="L33" s="20"/>
    </row>
    <row r="34" spans="1:13" s="10" customFormat="1" x14ac:dyDescent="0.2">
      <c r="A34" s="28" t="s">
        <v>52</v>
      </c>
      <c r="B34" s="25" t="s">
        <v>35</v>
      </c>
      <c r="C34" s="15"/>
      <c r="D34" s="19"/>
      <c r="E34" s="19"/>
      <c r="F34" s="20"/>
      <c r="G34" s="20"/>
      <c r="H34" s="19"/>
      <c r="I34" s="20"/>
      <c r="J34" s="20"/>
      <c r="K34" s="20"/>
      <c r="L34" s="20"/>
    </row>
    <row r="35" spans="1:13" ht="25.5" x14ac:dyDescent="0.2">
      <c r="A35" s="26" t="s">
        <v>38</v>
      </c>
      <c r="B35" s="16" t="s">
        <v>36</v>
      </c>
      <c r="C35" s="15" t="s">
        <v>22</v>
      </c>
      <c r="D35" s="46">
        <v>309.80099999999999</v>
      </c>
      <c r="E35" s="46">
        <v>198.64400000000001</v>
      </c>
      <c r="F35" s="21">
        <v>218.50800000000001</v>
      </c>
      <c r="G35" s="21">
        <f>F35*1.01</f>
        <v>220.69308000000001</v>
      </c>
      <c r="H35" s="21">
        <f>F35*0.98</f>
        <v>214.13784000000001</v>
      </c>
      <c r="I35" s="21">
        <f>G35*1.04</f>
        <v>229.52080320000002</v>
      </c>
      <c r="J35" s="21">
        <f>H35*103/100</f>
        <v>220.56197520000001</v>
      </c>
      <c r="K35" s="21">
        <f>I35*104.9/100</f>
        <v>240.76732255680002</v>
      </c>
      <c r="L35" s="21">
        <f>J35*104.4/100</f>
        <v>230.26670210880002</v>
      </c>
    </row>
    <row r="36" spans="1:13" ht="25.5" x14ac:dyDescent="0.2">
      <c r="A36" s="26"/>
      <c r="B36" s="17" t="s">
        <v>37</v>
      </c>
      <c r="C36" s="15" t="s">
        <v>33</v>
      </c>
      <c r="D36" s="19"/>
      <c r="E36" s="19"/>
      <c r="F36" s="19">
        <f>F35/E35/111.4*10000</f>
        <v>98.743086745730295</v>
      </c>
      <c r="G36" s="19">
        <f>G35/F35/100.3*10000</f>
        <v>100.69790628115653</v>
      </c>
      <c r="H36" s="19">
        <f>H35/F35/100.3*10000</f>
        <v>97.706879361914261</v>
      </c>
      <c r="I36" s="19">
        <f>I35/G35/100.3*10000</f>
        <v>103.68893320039881</v>
      </c>
      <c r="J36" s="19">
        <f>J35/H35/100.3*10000</f>
        <v>102.69192422731804</v>
      </c>
      <c r="K36" s="19">
        <f>K35/I35/100.3*10000</f>
        <v>104.58624127617148</v>
      </c>
      <c r="L36" s="19">
        <f>L35/J35/100.3*10000</f>
        <v>104.08773678963111</v>
      </c>
    </row>
    <row r="37" spans="1:13" ht="28.5" customHeight="1" x14ac:dyDescent="0.2">
      <c r="A37" s="26" t="s">
        <v>39</v>
      </c>
      <c r="B37" s="17" t="s">
        <v>62</v>
      </c>
      <c r="C37" s="36" t="s">
        <v>63</v>
      </c>
      <c r="D37" s="19">
        <v>9.5850000000000009</v>
      </c>
      <c r="E37" s="19">
        <v>10.058</v>
      </c>
      <c r="F37" s="19">
        <v>11</v>
      </c>
      <c r="G37" s="19">
        <f>F37*1.03</f>
        <v>11.33</v>
      </c>
      <c r="H37" s="19">
        <v>11</v>
      </c>
      <c r="I37" s="19">
        <f>G37*1.03</f>
        <v>11.6699</v>
      </c>
      <c r="J37" s="19">
        <v>11</v>
      </c>
      <c r="K37" s="19">
        <f>I37*1.03</f>
        <v>12.019997</v>
      </c>
      <c r="L37" s="19">
        <v>11</v>
      </c>
    </row>
    <row r="38" spans="1:13" x14ac:dyDescent="0.2">
      <c r="A38" s="28" t="s">
        <v>53</v>
      </c>
      <c r="B38" s="25" t="s">
        <v>42</v>
      </c>
      <c r="C38" s="15"/>
      <c r="D38" s="19"/>
      <c r="E38" s="19"/>
      <c r="F38" s="19"/>
      <c r="G38" s="19"/>
      <c r="H38" s="19"/>
      <c r="I38" s="19"/>
      <c r="J38" s="19"/>
      <c r="K38" s="19"/>
      <c r="L38" s="19"/>
    </row>
    <row r="39" spans="1:13" ht="25.5" x14ac:dyDescent="0.2">
      <c r="A39" s="26" t="s">
        <v>43</v>
      </c>
      <c r="B39" s="22" t="s">
        <v>44</v>
      </c>
      <c r="C39" s="15" t="s">
        <v>22</v>
      </c>
      <c r="D39" s="19">
        <f>D40*D41*12/1000</f>
        <v>2490.6907919999999</v>
      </c>
      <c r="E39" s="19">
        <f>E40*E41*12/1000</f>
        <v>2474.3791440000005</v>
      </c>
      <c r="F39" s="19">
        <f>F40*F41*12/1000</f>
        <v>2601</v>
      </c>
      <c r="G39" s="19">
        <f>G40*G41*12/1000</f>
        <v>2731.56</v>
      </c>
      <c r="H39" s="19">
        <f t="shared" ref="H39:L39" si="2">H40*H41*12/1000</f>
        <v>2705.04</v>
      </c>
      <c r="I39" s="19">
        <f t="shared" si="2"/>
        <v>2854.4801999999995</v>
      </c>
      <c r="J39" s="19">
        <f t="shared" si="2"/>
        <v>2805.0224399999997</v>
      </c>
      <c r="K39" s="19">
        <f t="shared" si="2"/>
        <v>2982.9318089999992</v>
      </c>
      <c r="L39" s="19">
        <f t="shared" si="2"/>
        <v>2894.6092032000001</v>
      </c>
    </row>
    <row r="40" spans="1:13" ht="38.25" x14ac:dyDescent="0.2">
      <c r="A40" s="26" t="s">
        <v>45</v>
      </c>
      <c r="B40" s="16" t="s">
        <v>46</v>
      </c>
      <c r="C40" s="18" t="s">
        <v>2</v>
      </c>
      <c r="D40" s="19">
        <v>28382</v>
      </c>
      <c r="E40" s="19">
        <v>30960.7</v>
      </c>
      <c r="F40" s="19">
        <v>34000</v>
      </c>
      <c r="G40" s="19">
        <f>F40*1.03</f>
        <v>35020</v>
      </c>
      <c r="H40" s="19">
        <f>F40*1.02</f>
        <v>34680</v>
      </c>
      <c r="I40" s="19">
        <f>G40*1.045</f>
        <v>36595.899999999994</v>
      </c>
      <c r="J40" s="19">
        <f>H40*1.045</f>
        <v>36240.6</v>
      </c>
      <c r="K40" s="19">
        <f>I40*1.045</f>
        <v>38242.715499999991</v>
      </c>
      <c r="L40" s="19">
        <f>J40*1.04</f>
        <v>37690.224000000002</v>
      </c>
    </row>
    <row r="41" spans="1:13" ht="25.5" x14ac:dyDescent="0.2">
      <c r="A41" s="26" t="s">
        <v>47</v>
      </c>
      <c r="B41" s="16" t="s">
        <v>4</v>
      </c>
      <c r="C41" s="18" t="s">
        <v>3</v>
      </c>
      <c r="D41" s="19">
        <v>7.3129999999999997</v>
      </c>
      <c r="E41" s="19">
        <v>6.66</v>
      </c>
      <c r="F41" s="19">
        <v>6.375</v>
      </c>
      <c r="G41" s="19">
        <v>6.5</v>
      </c>
      <c r="H41" s="19">
        <v>6.5</v>
      </c>
      <c r="I41" s="19">
        <v>6.5</v>
      </c>
      <c r="J41" s="19">
        <v>6.45</v>
      </c>
      <c r="K41" s="19">
        <v>6.5</v>
      </c>
      <c r="L41" s="19">
        <v>6.4</v>
      </c>
    </row>
    <row r="42" spans="1:13" ht="25.5" x14ac:dyDescent="0.2">
      <c r="A42" s="26" t="s">
        <v>59</v>
      </c>
      <c r="B42" s="16" t="s">
        <v>60</v>
      </c>
      <c r="C42" s="18" t="s">
        <v>65</v>
      </c>
      <c r="D42" s="19">
        <v>2.23</v>
      </c>
      <c r="E42" s="19">
        <v>1.41</v>
      </c>
      <c r="F42" s="19">
        <v>0.7</v>
      </c>
      <c r="G42" s="19">
        <v>0.9</v>
      </c>
      <c r="H42" s="19">
        <v>0.9</v>
      </c>
      <c r="I42" s="19">
        <v>0.8</v>
      </c>
      <c r="J42" s="19">
        <v>0.8</v>
      </c>
      <c r="K42" s="19">
        <v>0.8</v>
      </c>
      <c r="L42" s="19">
        <v>0.8</v>
      </c>
    </row>
    <row r="43" spans="1:13" ht="25.5" x14ac:dyDescent="0.2">
      <c r="A43" s="26" t="s">
        <v>61</v>
      </c>
      <c r="B43" s="16" t="s">
        <v>72</v>
      </c>
      <c r="C43" s="18" t="s">
        <v>64</v>
      </c>
      <c r="D43" s="19">
        <v>325</v>
      </c>
      <c r="E43" s="19">
        <v>201</v>
      </c>
      <c r="F43" s="19">
        <v>105</v>
      </c>
      <c r="G43" s="19">
        <v>120</v>
      </c>
      <c r="H43" s="19">
        <v>120</v>
      </c>
      <c r="I43" s="19">
        <v>110</v>
      </c>
      <c r="J43" s="19">
        <v>110</v>
      </c>
      <c r="K43" s="19">
        <v>110</v>
      </c>
      <c r="L43" s="19">
        <v>110</v>
      </c>
    </row>
    <row r="44" spans="1:13" ht="28.5" hidden="1" x14ac:dyDescent="0.2">
      <c r="A44" s="28" t="s">
        <v>54</v>
      </c>
      <c r="B44" s="27" t="s">
        <v>55</v>
      </c>
      <c r="C44" s="15" t="s">
        <v>22</v>
      </c>
      <c r="D44" s="19">
        <v>132.80000000000001</v>
      </c>
      <c r="E44" s="19">
        <v>132.80000000000001</v>
      </c>
      <c r="F44" s="19">
        <f>E44*100%</f>
        <v>132.80000000000001</v>
      </c>
      <c r="G44" s="19">
        <f>F44*1.05</f>
        <v>139.44000000000003</v>
      </c>
      <c r="H44" s="19">
        <f>F44*1</f>
        <v>132.80000000000001</v>
      </c>
      <c r="I44" s="19">
        <f>G44*1.015</f>
        <v>141.53160000000003</v>
      </c>
      <c r="J44" s="19">
        <f>H44*1.01</f>
        <v>134.12800000000001</v>
      </c>
      <c r="K44" s="19">
        <f>I44*1.05</f>
        <v>148.60818000000003</v>
      </c>
      <c r="L44" s="19">
        <f>J44*1.01</f>
        <v>135.46928000000003</v>
      </c>
    </row>
    <row r="45" spans="1:13" ht="28.5" x14ac:dyDescent="0.2">
      <c r="A45" s="29" t="s">
        <v>54</v>
      </c>
      <c r="B45" s="30" t="s">
        <v>48</v>
      </c>
      <c r="C45" s="15"/>
      <c r="D45" s="19"/>
      <c r="E45" s="19"/>
      <c r="F45" s="19"/>
      <c r="G45" s="19"/>
      <c r="H45" s="19"/>
      <c r="I45" s="19"/>
      <c r="J45" s="19"/>
      <c r="K45" s="19"/>
      <c r="L45" s="19"/>
    </row>
    <row r="46" spans="1:13" ht="27" customHeight="1" x14ac:dyDescent="0.2">
      <c r="A46" s="31" t="s">
        <v>82</v>
      </c>
      <c r="B46" s="32" t="s">
        <v>11</v>
      </c>
      <c r="C46" s="18" t="s">
        <v>5</v>
      </c>
      <c r="D46" s="47">
        <v>110</v>
      </c>
      <c r="E46" s="47">
        <v>104</v>
      </c>
      <c r="F46" s="47">
        <v>96</v>
      </c>
      <c r="G46" s="47">
        <v>93</v>
      </c>
      <c r="H46" s="47">
        <v>90</v>
      </c>
      <c r="I46" s="47">
        <v>93</v>
      </c>
      <c r="J46" s="47">
        <v>90</v>
      </c>
      <c r="K46" s="47">
        <v>93</v>
      </c>
      <c r="L46" s="47">
        <v>90</v>
      </c>
      <c r="M46" t="s">
        <v>88</v>
      </c>
    </row>
    <row r="47" spans="1:13" ht="16.5" customHeight="1" x14ac:dyDescent="0.2">
      <c r="A47" s="31" t="s">
        <v>83</v>
      </c>
      <c r="B47" s="32" t="s">
        <v>6</v>
      </c>
      <c r="C47" s="18" t="s">
        <v>5</v>
      </c>
      <c r="D47" s="48">
        <v>11</v>
      </c>
      <c r="E47" s="48">
        <v>9</v>
      </c>
      <c r="F47" s="48">
        <v>9</v>
      </c>
      <c r="G47" s="48">
        <v>9</v>
      </c>
      <c r="H47" s="48">
        <v>9</v>
      </c>
      <c r="I47" s="48">
        <v>9</v>
      </c>
      <c r="J47" s="48">
        <v>9</v>
      </c>
      <c r="K47" s="48">
        <v>9</v>
      </c>
      <c r="L47" s="48">
        <v>9</v>
      </c>
    </row>
    <row r="48" spans="1:13" ht="16.5" customHeight="1" x14ac:dyDescent="0.2">
      <c r="A48" s="31" t="s">
        <v>84</v>
      </c>
      <c r="B48" s="32" t="s">
        <v>87</v>
      </c>
      <c r="C48" s="18" t="s">
        <v>5</v>
      </c>
      <c r="D48" s="48">
        <v>302</v>
      </c>
      <c r="E48" s="48">
        <v>320</v>
      </c>
      <c r="F48" s="48">
        <v>328</v>
      </c>
      <c r="G48" s="48">
        <v>300</v>
      </c>
      <c r="H48" s="48">
        <v>300</v>
      </c>
      <c r="I48" s="48">
        <v>300</v>
      </c>
      <c r="J48" s="48">
        <v>300</v>
      </c>
      <c r="K48" s="48">
        <v>300</v>
      </c>
      <c r="L48" s="48">
        <v>300</v>
      </c>
    </row>
    <row r="49" spans="1:12" ht="38.25" x14ac:dyDescent="0.2">
      <c r="A49" s="31" t="s">
        <v>85</v>
      </c>
      <c r="B49" s="32" t="s">
        <v>7</v>
      </c>
      <c r="C49" s="18" t="s">
        <v>8</v>
      </c>
      <c r="D49" s="48">
        <v>1748</v>
      </c>
      <c r="E49" s="48">
        <v>1863</v>
      </c>
      <c r="F49" s="48">
        <v>1913</v>
      </c>
      <c r="G49" s="48">
        <v>1970</v>
      </c>
      <c r="H49" s="41">
        <f>F49*0.9</f>
        <v>1721.7</v>
      </c>
      <c r="I49" s="41">
        <f>G49*1.015</f>
        <v>1999.5499999999997</v>
      </c>
      <c r="J49" s="41">
        <f>H49*1.01</f>
        <v>1738.9170000000001</v>
      </c>
      <c r="K49" s="41">
        <f>I49*1.035</f>
        <v>2069.5342499999997</v>
      </c>
      <c r="L49" s="41">
        <f>J49*1.01</f>
        <v>1756.3061700000001</v>
      </c>
    </row>
    <row r="50" spans="1:12" ht="25.5" x14ac:dyDescent="0.2">
      <c r="A50" s="31" t="s">
        <v>86</v>
      </c>
      <c r="B50" s="32" t="s">
        <v>9</v>
      </c>
      <c r="C50" s="18" t="s">
        <v>8</v>
      </c>
      <c r="D50" s="48">
        <v>1321</v>
      </c>
      <c r="E50" s="48">
        <v>1018</v>
      </c>
      <c r="F50" s="48">
        <v>1035</v>
      </c>
      <c r="G50" s="48">
        <v>1070</v>
      </c>
      <c r="H50" s="41">
        <f>F50*1.015</f>
        <v>1050.5249999999999</v>
      </c>
      <c r="I50" s="41">
        <f>G50*1.01</f>
        <v>1080.7</v>
      </c>
      <c r="J50" s="41">
        <f>H50*1.01</f>
        <v>1061.0302499999998</v>
      </c>
      <c r="K50" s="41">
        <f>I50*1.035</f>
        <v>1118.5245</v>
      </c>
      <c r="L50" s="41">
        <f>J50*1.01</f>
        <v>1071.6405524999998</v>
      </c>
    </row>
    <row r="51" spans="1:12" ht="9.75" customHeight="1" x14ac:dyDescent="0.2">
      <c r="A51" s="4"/>
      <c r="B51" s="5"/>
      <c r="C51" s="6"/>
      <c r="D51" s="7"/>
      <c r="E51" s="7"/>
      <c r="F51" s="7"/>
      <c r="G51" s="7"/>
      <c r="H51" s="7"/>
      <c r="I51" s="7"/>
      <c r="J51" s="7"/>
      <c r="K51" s="7"/>
      <c r="L51" s="7"/>
    </row>
  </sheetData>
  <mergeCells count="15">
    <mergeCell ref="I1:L1"/>
    <mergeCell ref="B2:L2"/>
    <mergeCell ref="B5:L5"/>
    <mergeCell ref="A8:A10"/>
    <mergeCell ref="B8:B10"/>
    <mergeCell ref="C8:C10"/>
    <mergeCell ref="D8:D10"/>
    <mergeCell ref="E8:E10"/>
    <mergeCell ref="F8:F10"/>
    <mergeCell ref="G8:L8"/>
    <mergeCell ref="A3:L3"/>
    <mergeCell ref="B4:K4"/>
    <mergeCell ref="G9:H9"/>
    <mergeCell ref="I9:J9"/>
    <mergeCell ref="K9:L9"/>
  </mergeCells>
  <pageMargins left="0.70866141732283472" right="0.70866141732283472" top="0.74803149606299213" bottom="0.74803149606299213" header="0.31496062992125984" footer="0.31496062992125984"/>
  <pageSetup paperSize="9" scale="86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МО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2022-11-11T05:52:22Z</cp:lastPrinted>
  <dcterms:created xsi:type="dcterms:W3CDTF">2013-10-22T05:18:42Z</dcterms:created>
  <dcterms:modified xsi:type="dcterms:W3CDTF">2022-11-16T06:59:41Z</dcterms:modified>
</cp:coreProperties>
</file>